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oao.sandrini\Documents\Planilhas\"/>
    </mc:Choice>
  </mc:AlternateContent>
  <bookViews>
    <workbookView xWindow="0" yWindow="0" windowWidth="25920" windowHeight="14355" tabRatio="500"/>
  </bookViews>
  <sheets>
    <sheet name="Planilha - renda fixa" sheetId="7" r:id="rId1"/>
  </sheets>
  <definedNames>
    <definedName name="solver_adj" localSheetId="0" hidden="1">'Planilha - renda fixa'!$C$5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'Planilha - renda fixa'!$C$5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'Planilha - renda fixa'!#REF!</definedName>
    <definedName name="solver_pre" localSheetId="0" hidden="1">0.000001</definedName>
    <definedName name="solver_rbv" localSheetId="0" hidden="1">2</definedName>
    <definedName name="solver_rel1" localSheetId="0" hidden="1">3</definedName>
    <definedName name="solver_rhs1" localSheetId="0" hidden="1">0%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0</definedName>
    <definedName name="solver_ver" localSheetId="0" hidden="1">3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6" i="7" l="1"/>
  <c r="C25" i="7"/>
  <c r="C24" i="7"/>
  <c r="G6" i="7"/>
  <c r="I6" i="7" s="1"/>
  <c r="F6" i="7"/>
  <c r="H6" i="7" s="1"/>
  <c r="J6" i="7"/>
  <c r="K6" i="7"/>
  <c r="C22" i="7"/>
  <c r="C28" i="7"/>
  <c r="C27" i="7" s="1"/>
  <c r="C108" i="7" l="1"/>
  <c r="C110" i="7" s="1"/>
  <c r="C43" i="7" l="1"/>
  <c r="C33" i="7" l="1"/>
  <c r="C97" i="7" l="1"/>
  <c r="C113" i="7" s="1"/>
  <c r="C114" i="7" s="1"/>
  <c r="C98" i="7"/>
  <c r="C99" i="7" l="1"/>
  <c r="C102" i="7" s="1"/>
  <c r="C103" i="7" s="1"/>
  <c r="C86" i="7"/>
  <c r="C87" i="7" s="1"/>
  <c r="C100" i="7" l="1"/>
  <c r="C111" i="7"/>
  <c r="C57" i="7"/>
  <c r="C54" i="7" l="1"/>
  <c r="C56" i="7" s="1"/>
  <c r="C65" i="7"/>
  <c r="C62" i="7"/>
  <c r="C58" i="7" l="1"/>
  <c r="C60" i="7" l="1"/>
  <c r="C61" i="7"/>
  <c r="C63" i="7"/>
  <c r="C64" i="7" l="1"/>
  <c r="C67" i="7" s="1"/>
  <c r="C68" i="7" s="1"/>
  <c r="C8" i="7"/>
  <c r="C45" i="7"/>
  <c r="C15" i="7"/>
  <c r="C16" i="7" s="1"/>
  <c r="C6" i="7"/>
  <c r="C17" i="7" l="1"/>
  <c r="C66" i="7"/>
  <c r="C46" i="7"/>
  <c r="C19" i="7"/>
  <c r="C34" i="7"/>
  <c r="C74" i="7"/>
  <c r="C90" i="7" l="1"/>
  <c r="C91" i="7" s="1"/>
  <c r="C88" i="7"/>
  <c r="C112" i="7" s="1"/>
  <c r="C37" i="7"/>
  <c r="G7" i="7" s="1"/>
  <c r="C35" i="7"/>
  <c r="C18" i="7"/>
  <c r="G5" i="7" s="1"/>
  <c r="F5" i="7"/>
  <c r="H5" i="7" s="1"/>
  <c r="C75" i="7"/>
  <c r="C76" i="7" s="1"/>
  <c r="C77" i="7"/>
  <c r="C49" i="7"/>
  <c r="C47" i="7"/>
  <c r="C48" i="7" s="1"/>
  <c r="C89" i="7" l="1"/>
  <c r="C101" i="7"/>
  <c r="C38" i="7"/>
  <c r="F7" i="7" s="1"/>
  <c r="H7" i="7" s="1"/>
  <c r="C36" i="7"/>
  <c r="J5" i="7"/>
  <c r="I5" i="7"/>
  <c r="K5" i="7"/>
  <c r="J7" i="7"/>
  <c r="K7" i="7"/>
  <c r="I7" i="7"/>
  <c r="C78" i="7"/>
  <c r="F9" i="7" s="1"/>
  <c r="H9" i="7" s="1"/>
  <c r="G9" i="7"/>
  <c r="C50" i="7"/>
  <c r="F10" i="7" s="1"/>
  <c r="H10" i="7" s="1"/>
  <c r="G10" i="7"/>
  <c r="K9" i="7" l="1"/>
  <c r="I9" i="7"/>
  <c r="J9" i="7"/>
  <c r="J10" i="7"/>
  <c r="K10" i="7"/>
  <c r="I10" i="7"/>
  <c r="G8" i="7" l="1"/>
  <c r="F8" i="7"/>
  <c r="H8" i="7" s="1"/>
  <c r="J8" i="7" l="1"/>
  <c r="I8" i="7"/>
  <c r="K8" i="7"/>
</calcChain>
</file>

<file path=xl/sharedStrings.xml><?xml version="1.0" encoding="utf-8"?>
<sst xmlns="http://schemas.openxmlformats.org/spreadsheetml/2006/main" count="113" uniqueCount="64">
  <si>
    <t>TR mensal (média):</t>
  </si>
  <si>
    <t>Rendimento (em %):</t>
  </si>
  <si>
    <t>Rendimento (em R$):</t>
  </si>
  <si>
    <t>Alíquota de IR:</t>
  </si>
  <si>
    <t>Patrimônio Total (em R$):</t>
  </si>
  <si>
    <t>Taxa de Administração (% a.a):</t>
  </si>
  <si>
    <t>Taxa de Administração (% ao mês):</t>
  </si>
  <si>
    <t>CDI Mensal:</t>
  </si>
  <si>
    <t>Selic Mensal :</t>
  </si>
  <si>
    <t>Rendimento (em %) no período:</t>
  </si>
  <si>
    <t>Tesouro Direto (LFT)</t>
  </si>
  <si>
    <t>Rendimento Líquido ao ano:</t>
  </si>
  <si>
    <t>Rendimento Líquido ao mês</t>
  </si>
  <si>
    <t>Rentabilidade Bruta ao mês:</t>
  </si>
  <si>
    <t>Rentabilidade Bruta Mensal (como % do CDI):</t>
  </si>
  <si>
    <t>Rentabilidade Bruta  Mensal (como % do CDI):</t>
  </si>
  <si>
    <t>LCI ou LCA</t>
  </si>
  <si>
    <t>Aporte</t>
  </si>
  <si>
    <t>Taxa Juros estimada</t>
  </si>
  <si>
    <t>Valor do Bruto resgate</t>
  </si>
  <si>
    <t>Taxa de cústodia</t>
  </si>
  <si>
    <t>Taxa de administração</t>
  </si>
  <si>
    <t>IR</t>
  </si>
  <si>
    <t>IR R$</t>
  </si>
  <si>
    <t>Corretagem na entrada</t>
  </si>
  <si>
    <t>Taxa de custódia</t>
  </si>
  <si>
    <t>Valor do Líquido de resgate</t>
  </si>
  <si>
    <t>Rendimento ao mês</t>
  </si>
  <si>
    <t>Rendimento ao ano</t>
  </si>
  <si>
    <t>Taxa de corretagem</t>
  </si>
  <si>
    <t>Fundo DI</t>
  </si>
  <si>
    <t>CDB / letra de câmbio</t>
  </si>
  <si>
    <t>Prazo do investimento (em meses)</t>
  </si>
  <si>
    <t>Montante a ser Investido</t>
  </si>
  <si>
    <t>Selic over (% a.a) - consultar www.bcb.gov.br</t>
  </si>
  <si>
    <t>CDI(% a.a) - consultar www.infomoney.com.br</t>
  </si>
  <si>
    <t>Tabela comparativa</t>
  </si>
  <si>
    <t>Oferece liquidez diária igual à poupança e tem risco baixíssimo como a caderneta</t>
  </si>
  <si>
    <t>Rentabilidade (em %):</t>
  </si>
  <si>
    <t>Investimento/retorno</t>
  </si>
  <si>
    <t>ao mês</t>
  </si>
  <si>
    <t>ao ano</t>
  </si>
  <si>
    <t>ao período</t>
  </si>
  <si>
    <t>em 5 anos</t>
  </si>
  <si>
    <t>em 10 anos</t>
  </si>
  <si>
    <t>em 30 anos</t>
  </si>
  <si>
    <t>Fundos DI</t>
  </si>
  <si>
    <t>CDB ou letra de câmbio</t>
  </si>
  <si>
    <t>Os CDBs e letras de câmbio mais rentáveis não têm liquidez diária como a poupança - ou seja, você só poderá resgatar o dinheiro no vencimento. E lembre-se que o risco só é igual ao da poupança para investimentos de até R$ 250 mil por banco porque, dentro desse limite, o Fundo Garantidor de Crédito devolve o dinheiro do investidor mesmo em caso de quebra do banco.</t>
  </si>
  <si>
    <t>A comparação com a poupança só é pertinente com LFT, que é indexada à Selic. Os outros títulos do Tesouro Direto (NTN-B, LTN e NTN-F) possuem características muito diferentes, embutem maior risco/volatilidade e não são comparáveis</t>
  </si>
  <si>
    <t>As LCI não têm liquidez diária como a poupança, assim como as LCA mais rentáveis - ou seja, você só poderá resgatar o dinheiro no vencimento. E lembre-se que o risco só é igual ao da poupança para investimentos de até R$ 250 mil por banco porque, dentro desse limite, o Fundo Garantidor de Crédito devolve o dinheiro do investidor mesmo em caso de quebra do banco.</t>
  </si>
  <si>
    <t>Comparador de Renda fixa com os investimentos de menor risco do mercado: mexa apenas nos campos amarelos e inclua informações atualizadas e coerentes com seu investimento. Os resultados estão nas células com fundo azul ou na tabela abaixo.</t>
  </si>
  <si>
    <t>TR mensal (média dos últimos 3 meses, segundo BC):</t>
  </si>
  <si>
    <t>CDB / letra de câmbio pré</t>
  </si>
  <si>
    <t>Rentabilidade Bruta Mensal</t>
  </si>
  <si>
    <t>Taxa preacordada</t>
  </si>
  <si>
    <t>Previsão de inflação para os próximos 12 meses</t>
  </si>
  <si>
    <t>Debênture incentivada</t>
  </si>
  <si>
    <t>Rentabilidade Bruta Anual</t>
  </si>
  <si>
    <t>NTN-B Principal ou debênture comum</t>
  </si>
  <si>
    <t>Nova poupança (quando a Selic cai abaixo de 8,5%)</t>
  </si>
  <si>
    <t>Poupança tradicional</t>
  </si>
  <si>
    <t>Poupança nova</t>
  </si>
  <si>
    <t>O governo mudou as regras da caderneta de poupança em 2012. A partir daquele ano novos depósitos na poupança passaram a ser remunerado por 70% da Selic mais a TR sempre que a Selic cair abaixo de 8,5%.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</si>
</sst>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(&quot;R$&quot;* #,##0.00_);_(&quot;R$&quot;* \(#,##0.00\);_(&quot;R$&quot;* &quot;-&quot;??_);_(@_)"/>
    <numFmt numFmtId="165" formatCode="0.0%"/>
    <numFmt numFmtId="166" formatCode="0.000%"/>
    <numFmt numFmtId="167" formatCode="&quot;R$&quot;\ #,##0.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10" fontId="0" fillId="0" borderId="0" xfId="2" applyNumberFormat="1" applyFont="1" applyAlignment="1">
      <alignment horizontal="center"/>
    </xf>
    <xf numFmtId="10" fontId="0" fillId="0" borderId="0" xfId="2" applyNumberFormat="1" applyFont="1"/>
    <xf numFmtId="2" fontId="0" fillId="0" borderId="0" xfId="0" applyNumberFormat="1" applyAlignment="1">
      <alignment horizontal="center"/>
    </xf>
    <xf numFmtId="10" fontId="2" fillId="0" borderId="0" xfId="2" applyNumberFormat="1" applyFont="1"/>
    <xf numFmtId="10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0" fontId="2" fillId="0" borderId="0" xfId="2" applyNumberFormat="1" applyFont="1" applyAlignment="1">
      <alignment horizontal="center"/>
    </xf>
    <xf numFmtId="10" fontId="0" fillId="0" borderId="1" xfId="0" applyNumberFormat="1" applyBorder="1"/>
    <xf numFmtId="1" fontId="0" fillId="2" borderId="1" xfId="0" applyNumberFormat="1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2" applyNumberFormat="1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165" fontId="0" fillId="3" borderId="1" xfId="2" applyNumberFormat="1" applyFont="1" applyFill="1" applyBorder="1" applyAlignment="1">
      <alignment horizontal="center"/>
    </xf>
    <xf numFmtId="167" fontId="0" fillId="0" borderId="1" xfId="1" applyNumberFormat="1" applyFont="1" applyBorder="1" applyAlignment="1">
      <alignment horizontal="center"/>
    </xf>
    <xf numFmtId="165" fontId="0" fillId="2" borderId="1" xfId="2" applyNumberFormat="1" applyFont="1" applyFill="1" applyBorder="1" applyAlignment="1">
      <alignment horizontal="center"/>
    </xf>
    <xf numFmtId="166" fontId="0" fillId="0" borderId="1" xfId="2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0" fontId="0" fillId="3" borderId="0" xfId="0" applyFill="1" applyBorder="1" applyAlignment="1">
      <alignment horizontal="center"/>
    </xf>
    <xf numFmtId="10" fontId="0" fillId="3" borderId="0" xfId="0" applyNumberFormat="1" applyFill="1" applyBorder="1" applyAlignment="1">
      <alignment horizontal="center"/>
    </xf>
    <xf numFmtId="164" fontId="0" fillId="0" borderId="1" xfId="0" applyNumberFormat="1" applyBorder="1"/>
    <xf numFmtId="10" fontId="0" fillId="2" borderId="1" xfId="0" applyNumberFormat="1" applyFill="1" applyBorder="1"/>
    <xf numFmtId="44" fontId="0" fillId="0" borderId="1" xfId="0" applyNumberFormat="1" applyBorder="1"/>
    <xf numFmtId="164" fontId="0" fillId="0" borderId="1" xfId="1" applyFont="1" applyBorder="1"/>
    <xf numFmtId="10" fontId="0" fillId="3" borderId="1" xfId="2" applyNumberFormat="1" applyFont="1" applyFill="1" applyBorder="1"/>
    <xf numFmtId="10" fontId="0" fillId="0" borderId="1" xfId="2" applyNumberFormat="1" applyFont="1" applyBorder="1"/>
    <xf numFmtId="167" fontId="0" fillId="0" borderId="1" xfId="2" applyNumberFormat="1" applyFont="1" applyBorder="1" applyAlignment="1">
      <alignment horizontal="center"/>
    </xf>
    <xf numFmtId="165" fontId="0" fillId="0" borderId="1" xfId="2" applyNumberFormat="1" applyFont="1" applyBorder="1" applyAlignment="1">
      <alignment horizontal="center"/>
    </xf>
    <xf numFmtId="0" fontId="2" fillId="4" borderId="1" xfId="0" applyFont="1" applyFill="1" applyBorder="1"/>
    <xf numFmtId="10" fontId="0" fillId="0" borderId="1" xfId="0" applyNumberFormat="1" applyFont="1" applyBorder="1"/>
    <xf numFmtId="0" fontId="5" fillId="0" borderId="0" xfId="0" applyFont="1"/>
    <xf numFmtId="167" fontId="0" fillId="0" borderId="0" xfId="0" applyNumberFormat="1"/>
    <xf numFmtId="10" fontId="0" fillId="3" borderId="1" xfId="2" applyNumberFormat="1" applyFont="1" applyFill="1" applyBorder="1" applyAlignment="1">
      <alignment horizontal="center"/>
    </xf>
    <xf numFmtId="2" fontId="0" fillId="0" borderId="0" xfId="0" applyNumberFormat="1"/>
    <xf numFmtId="8" fontId="0" fillId="0" borderId="0" xfId="0" applyNumberFormat="1"/>
    <xf numFmtId="44" fontId="0" fillId="0" borderId="0" xfId="0" applyNumberFormat="1"/>
    <xf numFmtId="10" fontId="7" fillId="5" borderId="1" xfId="2" applyNumberFormat="1" applyFont="1" applyFill="1" applyBorder="1" applyAlignment="1">
      <alignment horizontal="center"/>
    </xf>
    <xf numFmtId="10" fontId="7" fillId="5" borderId="1" xfId="0" applyNumberFormat="1" applyFont="1" applyFill="1" applyBorder="1" applyAlignment="1">
      <alignment horizontal="center"/>
    </xf>
    <xf numFmtId="10" fontId="0" fillId="5" borderId="1" xfId="2" applyNumberFormat="1" applyFont="1" applyFill="1" applyBorder="1" applyAlignment="1">
      <alignment horizontal="center"/>
    </xf>
    <xf numFmtId="10" fontId="0" fillId="2" borderId="1" xfId="0" applyNumberFormat="1" applyFont="1" applyFill="1" applyBorder="1" applyAlignment="1">
      <alignment horizontal="center" vertical="center"/>
    </xf>
    <xf numFmtId="10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0" fontId="2" fillId="0" borderId="1" xfId="2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0" fontId="0" fillId="0" borderId="2" xfId="0" applyNumberForma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wrapText="1"/>
    </xf>
  </cellXfs>
  <cellStyles count="39"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19" builtinId="8" hidden="1"/>
    <cellStyle name="Hiperlink" xfId="21" builtinId="8" hidden="1"/>
    <cellStyle name="Hiperlink" xfId="23" builtinId="8" hidden="1"/>
    <cellStyle name="Hiperlink" xfId="25" builtinId="8" hidden="1"/>
    <cellStyle name="Hiperlink" xfId="27" builtinId="8" hidden="1"/>
    <cellStyle name="Hiperlink" xfId="29" builtinId="8" hidden="1"/>
    <cellStyle name="Hiperlink" xfId="31" builtinId="8" hidden="1"/>
    <cellStyle name="Hiperlink" xfId="33" builtinId="8" hidden="1"/>
    <cellStyle name="Hiperlink" xfId="35" builtinId="8" hidden="1"/>
    <cellStyle name="Hiperlink" xfId="37" builtinId="8" hidden="1"/>
    <cellStyle name="Hiperlink Visitado" xfId="4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Hiperlink Visitado" xfId="30" builtinId="9" hidden="1"/>
    <cellStyle name="Hiperlink Visitado" xfId="32" builtinId="9" hidden="1"/>
    <cellStyle name="Hiperlink Visitado" xfId="34" builtinId="9" hidden="1"/>
    <cellStyle name="Hiperlink Visitado" xfId="36" builtinId="9" hidden="1"/>
    <cellStyle name="Hiperlink Visitado" xfId="38" builtinId="9" hidden="1"/>
    <cellStyle name="Moeda" xfId="1" builtinId="4"/>
    <cellStyle name="Normal" xfId="0" builtinId="0"/>
    <cellStyle name="Porcentagem" xfId="2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29</xdr:row>
      <xdr:rowOff>95250</xdr:rowOff>
    </xdr:from>
    <xdr:to>
      <xdr:col>3</xdr:col>
      <xdr:colOff>838200</xdr:colOff>
      <xdr:row>31</xdr:row>
      <xdr:rowOff>179832</xdr:rowOff>
    </xdr:to>
    <xdr:sp macro="" textlink="">
      <xdr:nvSpPr>
        <xdr:cNvPr id="9" name="Seta para a direita 8"/>
        <xdr:cNvSpPr/>
      </xdr:nvSpPr>
      <xdr:spPr>
        <a:xfrm>
          <a:off x="4638675" y="4095750"/>
          <a:ext cx="733425" cy="884682"/>
        </a:xfrm>
        <a:prstGeom prst="rightArrow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47625</xdr:colOff>
      <xdr:row>51</xdr:row>
      <xdr:rowOff>95250</xdr:rowOff>
    </xdr:from>
    <xdr:to>
      <xdr:col>3</xdr:col>
      <xdr:colOff>847725</xdr:colOff>
      <xdr:row>53</xdr:row>
      <xdr:rowOff>179832</xdr:rowOff>
    </xdr:to>
    <xdr:sp macro="" textlink="">
      <xdr:nvSpPr>
        <xdr:cNvPr id="11" name="Seta para a direita 10"/>
        <xdr:cNvSpPr/>
      </xdr:nvSpPr>
      <xdr:spPr>
        <a:xfrm>
          <a:off x="4581525" y="8896350"/>
          <a:ext cx="800100" cy="484632"/>
        </a:xfrm>
        <a:prstGeom prst="rightArrow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104775</xdr:colOff>
      <xdr:row>39</xdr:row>
      <xdr:rowOff>95250</xdr:rowOff>
    </xdr:from>
    <xdr:to>
      <xdr:col>3</xdr:col>
      <xdr:colOff>809625</xdr:colOff>
      <xdr:row>41</xdr:row>
      <xdr:rowOff>123825</xdr:rowOff>
    </xdr:to>
    <xdr:sp macro="" textlink="">
      <xdr:nvSpPr>
        <xdr:cNvPr id="12" name="Seta para a direita 11"/>
        <xdr:cNvSpPr/>
      </xdr:nvSpPr>
      <xdr:spPr>
        <a:xfrm>
          <a:off x="4638675" y="6496050"/>
          <a:ext cx="704850" cy="428625"/>
        </a:xfrm>
        <a:prstGeom prst="rightArrow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104775</xdr:colOff>
      <xdr:row>69</xdr:row>
      <xdr:rowOff>95250</xdr:rowOff>
    </xdr:from>
    <xdr:to>
      <xdr:col>3</xdr:col>
      <xdr:colOff>838200</xdr:colOff>
      <xdr:row>71</xdr:row>
      <xdr:rowOff>179832</xdr:rowOff>
    </xdr:to>
    <xdr:sp macro="" textlink="">
      <xdr:nvSpPr>
        <xdr:cNvPr id="7" name="Seta para a direita 6"/>
        <xdr:cNvSpPr/>
      </xdr:nvSpPr>
      <xdr:spPr>
        <a:xfrm>
          <a:off x="4638675" y="4524375"/>
          <a:ext cx="733425" cy="2065782"/>
        </a:xfrm>
        <a:prstGeom prst="rightArrow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104775</xdr:colOff>
      <xdr:row>69</xdr:row>
      <xdr:rowOff>95250</xdr:rowOff>
    </xdr:from>
    <xdr:to>
      <xdr:col>3</xdr:col>
      <xdr:colOff>838200</xdr:colOff>
      <xdr:row>71</xdr:row>
      <xdr:rowOff>179832</xdr:rowOff>
    </xdr:to>
    <xdr:sp macro="" textlink="">
      <xdr:nvSpPr>
        <xdr:cNvPr id="8" name="Seta para a direita 7"/>
        <xdr:cNvSpPr/>
      </xdr:nvSpPr>
      <xdr:spPr>
        <a:xfrm>
          <a:off x="4638675" y="4524375"/>
          <a:ext cx="733425" cy="1122807"/>
        </a:xfrm>
        <a:prstGeom prst="rightArrow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104775</xdr:colOff>
      <xdr:row>19</xdr:row>
      <xdr:rowOff>95250</xdr:rowOff>
    </xdr:from>
    <xdr:to>
      <xdr:col>3</xdr:col>
      <xdr:colOff>838200</xdr:colOff>
      <xdr:row>21</xdr:row>
      <xdr:rowOff>179832</xdr:rowOff>
    </xdr:to>
    <xdr:sp macro="" textlink="">
      <xdr:nvSpPr>
        <xdr:cNvPr id="10" name="Seta para a direita 9"/>
        <xdr:cNvSpPr/>
      </xdr:nvSpPr>
      <xdr:spPr>
        <a:xfrm>
          <a:off x="4924425" y="6324600"/>
          <a:ext cx="733425" cy="1122807"/>
        </a:xfrm>
        <a:prstGeom prst="rightArrow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abSelected="1" topLeftCell="A14" workbookViewId="0">
      <selection activeCell="A41" sqref="A41:C41"/>
    </sheetView>
  </sheetViews>
  <sheetFormatPr defaultColWidth="11" defaultRowHeight="15.75" x14ac:dyDescent="0.25"/>
  <cols>
    <col min="1" max="1" width="24.125" customWidth="1"/>
    <col min="2" max="2" width="20.75" customWidth="1"/>
    <col min="3" max="3" width="18.375" customWidth="1"/>
    <col min="4" max="4" width="12.125" bestFit="1" customWidth="1"/>
    <col min="5" max="5" width="25" customWidth="1"/>
    <col min="6" max="6" width="6.875" bestFit="1" customWidth="1"/>
    <col min="7" max="7" width="12.5" bestFit="1" customWidth="1"/>
    <col min="8" max="8" width="13.875" bestFit="1" customWidth="1"/>
    <col min="9" max="9" width="9.5" bestFit="1" customWidth="1"/>
    <col min="10" max="11" width="10.5" bestFit="1" customWidth="1"/>
  </cols>
  <sheetData>
    <row r="1" spans="1:11" ht="49.5" customHeight="1" x14ac:dyDescent="0.35">
      <c r="A1" s="60" t="s">
        <v>51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3" spans="1:11" x14ac:dyDescent="0.25">
      <c r="A3" s="65" t="s">
        <v>32</v>
      </c>
      <c r="B3" s="65"/>
      <c r="C3" s="10">
        <v>36</v>
      </c>
      <c r="D3" s="5"/>
      <c r="E3" s="35" t="s">
        <v>36</v>
      </c>
    </row>
    <row r="4" spans="1:11" x14ac:dyDescent="0.25">
      <c r="A4" s="65" t="s">
        <v>33</v>
      </c>
      <c r="B4" s="65"/>
      <c r="C4" s="11">
        <v>100000</v>
      </c>
      <c r="D4" s="5"/>
      <c r="E4" s="33" t="s">
        <v>39</v>
      </c>
      <c r="F4" s="33" t="s">
        <v>40</v>
      </c>
      <c r="G4" s="33" t="s">
        <v>41</v>
      </c>
      <c r="H4" s="33" t="s">
        <v>42</v>
      </c>
      <c r="I4" s="33" t="s">
        <v>43</v>
      </c>
      <c r="J4" s="33" t="s">
        <v>44</v>
      </c>
      <c r="K4" s="33" t="s">
        <v>45</v>
      </c>
    </row>
    <row r="5" spans="1:11" x14ac:dyDescent="0.25">
      <c r="A5" s="65" t="s">
        <v>34</v>
      </c>
      <c r="B5" s="65"/>
      <c r="C5" s="12">
        <v>9.2499999999999999E-2</v>
      </c>
      <c r="E5" s="33" t="s">
        <v>61</v>
      </c>
      <c r="F5" s="34">
        <f>C19</f>
        <v>4.9999999999998934E-3</v>
      </c>
      <c r="G5" s="9">
        <f>C18</f>
        <v>6.1677811864497611E-2</v>
      </c>
      <c r="H5" s="9">
        <f t="shared" ref="H5" si="0">((1+F5)^($C$3)-1)</f>
        <v>0.19668052482341269</v>
      </c>
      <c r="I5" s="9">
        <f>(1+G5)^5-1</f>
        <v>0.34885015254930352</v>
      </c>
      <c r="J5" s="9">
        <f>(1+G5)^10-1</f>
        <v>0.81939673403227897</v>
      </c>
      <c r="K5" s="9">
        <f>(1+G5)^30-1</f>
        <v>5.0225752122628755</v>
      </c>
    </row>
    <row r="6" spans="1:11" x14ac:dyDescent="0.25">
      <c r="A6" s="58" t="s">
        <v>8</v>
      </c>
      <c r="B6" s="58"/>
      <c r="C6" s="13">
        <f>(1+$C$5)^(1/12)-1</f>
        <v>7.3996302871768282E-3</v>
      </c>
      <c r="E6" s="33" t="s">
        <v>62</v>
      </c>
      <c r="F6" s="34">
        <f>C22</f>
        <v>5.1797412010237791E-3</v>
      </c>
      <c r="G6" s="9">
        <f>C27</f>
        <v>6.3958588769093661E-2</v>
      </c>
      <c r="H6" s="9">
        <f t="shared" ref="H6" si="1">((1+F6)^($C$3)-1)</f>
        <v>0.20440950500726518</v>
      </c>
      <c r="I6" s="9">
        <f>(1+G6)^5-1</f>
        <v>0.36340104874764489</v>
      </c>
      <c r="J6" s="9">
        <f>(1+G6)^10-1</f>
        <v>0.85886241972617849</v>
      </c>
      <c r="K6" s="9">
        <f>(1+G6)^30-1</f>
        <v>5.423056501397876</v>
      </c>
    </row>
    <row r="7" spans="1:11" x14ac:dyDescent="0.25">
      <c r="A7" s="65" t="s">
        <v>35</v>
      </c>
      <c r="B7" s="65"/>
      <c r="C7" s="12">
        <v>9.1399999999999995E-2</v>
      </c>
      <c r="D7" s="5"/>
      <c r="E7" s="33" t="s">
        <v>47</v>
      </c>
      <c r="F7" s="34">
        <f>C38</f>
        <v>7.3344311597522971E-3</v>
      </c>
      <c r="G7" s="9">
        <f>C37</f>
        <v>9.1651819854935201E-2</v>
      </c>
      <c r="H7" s="9">
        <f>((1+F7)^($C$3)-1)</f>
        <v>0.30092550823984232</v>
      </c>
      <c r="I7" s="9">
        <f t="shared" ref="I7:I10" si="2">(1+G7)^5-1</f>
        <v>0.55031773612026735</v>
      </c>
      <c r="J7" s="9">
        <f t="shared" ref="J7:J10" si="3">(1+G7)^10-1</f>
        <v>1.4034850829290715</v>
      </c>
      <c r="K7" s="9">
        <f t="shared" ref="K7:K10" si="4">(1+G7)^30-1</f>
        <v>12.884309725125245</v>
      </c>
    </row>
    <row r="8" spans="1:11" x14ac:dyDescent="0.25">
      <c r="A8" s="58" t="s">
        <v>7</v>
      </c>
      <c r="B8" s="58"/>
      <c r="C8" s="13">
        <f>(1+$C$7)^(1/12)-1</f>
        <v>7.3150649701256842E-3</v>
      </c>
      <c r="E8" s="33" t="s">
        <v>10</v>
      </c>
      <c r="F8" s="34">
        <f>C68</f>
        <v>6.0933118869315184E-3</v>
      </c>
      <c r="G8" s="9">
        <f>C67</f>
        <v>7.5620681144534352E-2</v>
      </c>
      <c r="H8" s="9">
        <f>((1+F8)^($C$3)-1)</f>
        <v>0.24444994159745925</v>
      </c>
      <c r="I8" s="9">
        <f t="shared" si="2"/>
        <v>0.43977861739703461</v>
      </c>
      <c r="J8" s="9">
        <f t="shared" si="3"/>
        <v>1.072962467113717</v>
      </c>
      <c r="K8" s="9">
        <f t="shared" si="4"/>
        <v>7.9078791522787295</v>
      </c>
    </row>
    <row r="9" spans="1:11" x14ac:dyDescent="0.25">
      <c r="A9" s="59" t="s">
        <v>52</v>
      </c>
      <c r="B9" s="59"/>
      <c r="C9" s="12">
        <v>0</v>
      </c>
      <c r="E9" s="33" t="s">
        <v>16</v>
      </c>
      <c r="F9" s="34">
        <f>C78</f>
        <v>6.9249788124268186E-3</v>
      </c>
      <c r="G9" s="9">
        <f>C77</f>
        <v>8.6339008429502151E-2</v>
      </c>
      <c r="H9" s="9">
        <f>((1+F9)^($C$3)-1)</f>
        <v>0.28202390602736904</v>
      </c>
      <c r="I9" s="9">
        <f t="shared" si="2"/>
        <v>0.51295800194246355</v>
      </c>
      <c r="J9" s="9">
        <f t="shared" si="3"/>
        <v>1.2890419156417319</v>
      </c>
      <c r="K9" s="9">
        <f t="shared" si="4"/>
        <v>10.993922434720094</v>
      </c>
    </row>
    <row r="10" spans="1:11" x14ac:dyDescent="0.25">
      <c r="A10" s="23"/>
      <c r="B10" s="23"/>
      <c r="C10" s="24"/>
      <c r="E10" s="33" t="s">
        <v>46</v>
      </c>
      <c r="F10" s="34">
        <f>C50</f>
        <v>6.556063671999679E-3</v>
      </c>
      <c r="G10" s="9">
        <f>C49</f>
        <v>8.157249265396338E-2</v>
      </c>
      <c r="H10" s="9">
        <f>((1+F10)^($C$3)-1)</f>
        <v>0.26522248183850494</v>
      </c>
      <c r="I10" s="9">
        <f t="shared" si="2"/>
        <v>0.4800560659799662</v>
      </c>
      <c r="J10" s="9">
        <f t="shared" si="3"/>
        <v>1.1905659584440942</v>
      </c>
      <c r="K10" s="9">
        <f t="shared" si="4"/>
        <v>9.5116042844923108</v>
      </c>
    </row>
    <row r="11" spans="1:11" x14ac:dyDescent="0.25">
      <c r="A11" s="8"/>
      <c r="B11" s="1"/>
      <c r="C11" s="2"/>
    </row>
    <row r="12" spans="1:11" x14ac:dyDescent="0.25">
      <c r="A12" s="61" t="s">
        <v>61</v>
      </c>
      <c r="B12" s="61"/>
      <c r="C12" s="61"/>
      <c r="D12" s="4"/>
      <c r="G12" s="5"/>
    </row>
    <row r="13" spans="1:11" x14ac:dyDescent="0.25">
      <c r="A13" s="46" t="s">
        <v>13</v>
      </c>
      <c r="B13" s="62"/>
      <c r="C13" s="14">
        <v>5.0000000000000001E-3</v>
      </c>
      <c r="D13" s="5"/>
      <c r="G13" s="5"/>
    </row>
    <row r="14" spans="1:11" x14ac:dyDescent="0.25">
      <c r="A14" s="63" t="s">
        <v>0</v>
      </c>
      <c r="B14" s="64"/>
      <c r="C14" s="14">
        <v>0</v>
      </c>
      <c r="G14" s="5"/>
    </row>
    <row r="15" spans="1:11" x14ac:dyDescent="0.25">
      <c r="A15" s="46" t="s">
        <v>9</v>
      </c>
      <c r="B15" s="46"/>
      <c r="C15" s="13">
        <f>((1+$C$14)*(1+$C$13))^$C$3-1</f>
        <v>0.19668052482341269</v>
      </c>
      <c r="E15" s="5"/>
      <c r="G15" s="5"/>
    </row>
    <row r="16" spans="1:11" x14ac:dyDescent="0.25">
      <c r="A16" s="46" t="s">
        <v>2</v>
      </c>
      <c r="B16" s="46"/>
      <c r="C16" s="15">
        <f>C4*C15</f>
        <v>19668.052482341271</v>
      </c>
      <c r="E16" s="5"/>
      <c r="G16" s="5"/>
    </row>
    <row r="17" spans="1:11" x14ac:dyDescent="0.25">
      <c r="A17" s="46" t="s">
        <v>4</v>
      </c>
      <c r="B17" s="46"/>
      <c r="C17" s="15">
        <f>$C$16+$C$4</f>
        <v>119668.05248234127</v>
      </c>
      <c r="E17" s="38"/>
      <c r="G17" s="5"/>
    </row>
    <row r="18" spans="1:11" x14ac:dyDescent="0.25">
      <c r="A18" s="46" t="s">
        <v>28</v>
      </c>
      <c r="B18" s="46"/>
      <c r="C18" s="41">
        <f>(1+C19)^12-1</f>
        <v>6.1677811864497611E-2</v>
      </c>
      <c r="E18" s="5"/>
    </row>
    <row r="19" spans="1:11" x14ac:dyDescent="0.25">
      <c r="A19" s="46" t="s">
        <v>27</v>
      </c>
      <c r="B19" s="46"/>
      <c r="C19" s="42">
        <f>(1+C13)*(1+C14)-1</f>
        <v>4.9999999999998934E-3</v>
      </c>
    </row>
    <row r="21" spans="1:11" ht="36.75" customHeight="1" x14ac:dyDescent="0.25">
      <c r="A21" s="61" t="s">
        <v>60</v>
      </c>
      <c r="B21" s="61"/>
      <c r="C21" s="61"/>
      <c r="E21" s="69" t="s">
        <v>63</v>
      </c>
      <c r="F21" s="69"/>
      <c r="G21" s="69"/>
      <c r="H21" s="69"/>
      <c r="I21" s="69"/>
      <c r="J21" s="69"/>
      <c r="K21" s="69"/>
    </row>
    <row r="22" spans="1:11" x14ac:dyDescent="0.25">
      <c r="A22" s="46" t="s">
        <v>13</v>
      </c>
      <c r="B22" s="62"/>
      <c r="C22" s="14">
        <f>(C6*0.7)+C23</f>
        <v>5.1797412010237791E-3</v>
      </c>
    </row>
    <row r="23" spans="1:11" x14ac:dyDescent="0.25">
      <c r="A23" s="63" t="s">
        <v>0</v>
      </c>
      <c r="B23" s="64"/>
      <c r="C23" s="14">
        <v>0</v>
      </c>
    </row>
    <row r="24" spans="1:11" x14ac:dyDescent="0.25">
      <c r="A24" s="46" t="s">
        <v>9</v>
      </c>
      <c r="B24" s="46"/>
      <c r="C24" s="13">
        <f>((1+$C$22)*(1+$C$23))^$C$3-1</f>
        <v>0.20440950500726518</v>
      </c>
    </row>
    <row r="25" spans="1:11" x14ac:dyDescent="0.25">
      <c r="A25" s="46" t="s">
        <v>2</v>
      </c>
      <c r="B25" s="46"/>
      <c r="C25" s="15">
        <f>C4*C24</f>
        <v>20440.950500726518</v>
      </c>
    </row>
    <row r="26" spans="1:11" x14ac:dyDescent="0.25">
      <c r="A26" s="46" t="s">
        <v>4</v>
      </c>
      <c r="B26" s="46"/>
      <c r="C26" s="15">
        <f>C25+C4</f>
        <v>120440.95050072653</v>
      </c>
    </row>
    <row r="27" spans="1:11" x14ac:dyDescent="0.25">
      <c r="A27" s="46" t="s">
        <v>28</v>
      </c>
      <c r="B27" s="46"/>
      <c r="C27" s="41">
        <f>(1+C28)^12-1</f>
        <v>6.3958588769093661E-2</v>
      </c>
    </row>
    <row r="28" spans="1:11" x14ac:dyDescent="0.25">
      <c r="A28" s="46" t="s">
        <v>27</v>
      </c>
      <c r="B28" s="46"/>
      <c r="C28" s="42">
        <f>(1+C22)*(1+C23)-1</f>
        <v>5.1797412010237132E-3</v>
      </c>
    </row>
    <row r="29" spans="1:11" x14ac:dyDescent="0.25">
      <c r="A29" s="7"/>
      <c r="B29" s="7"/>
      <c r="C29" s="1"/>
      <c r="E29" s="5"/>
    </row>
    <row r="30" spans="1:11" x14ac:dyDescent="0.25">
      <c r="A30" s="6"/>
      <c r="B30" s="6"/>
      <c r="C30" s="7"/>
    </row>
    <row r="31" spans="1:11" ht="66" customHeight="1" x14ac:dyDescent="0.25">
      <c r="A31" s="48" t="s">
        <v>31</v>
      </c>
      <c r="B31" s="48"/>
      <c r="C31" s="48"/>
      <c r="E31" s="56" t="s">
        <v>48</v>
      </c>
      <c r="F31" s="56"/>
      <c r="G31" s="56"/>
      <c r="H31" s="56"/>
      <c r="I31" s="56"/>
      <c r="J31" s="56"/>
      <c r="K31" s="56"/>
    </row>
    <row r="32" spans="1:11" x14ac:dyDescent="0.25">
      <c r="A32" s="54" t="s">
        <v>14</v>
      </c>
      <c r="B32" s="55"/>
      <c r="C32" s="16">
        <v>1.18</v>
      </c>
    </row>
    <row r="33" spans="1:11" x14ac:dyDescent="0.25">
      <c r="A33" s="53" t="s">
        <v>3</v>
      </c>
      <c r="B33" s="53"/>
      <c r="C33" s="17">
        <f>IF($C$3&lt;=0,"Tempo de Investimento Inválido",IF($C$3&lt;=6,0.225,IF($C$3&lt;=12,0.2,IF($C$3&lt;=24,0.175,IF($C$3&gt;24,0.15,"")))))</f>
        <v>0.15</v>
      </c>
      <c r="E33" s="5"/>
    </row>
    <row r="34" spans="1:11" x14ac:dyDescent="0.25">
      <c r="A34" s="46" t="s">
        <v>38</v>
      </c>
      <c r="B34" s="46"/>
      <c r="C34" s="37">
        <f>((((1+$C$8)^($C$3))-1)*$C$32)*(1-$C$33)</f>
        <v>0.30092550823983522</v>
      </c>
      <c r="E34" s="5"/>
    </row>
    <row r="35" spans="1:11" x14ac:dyDescent="0.25">
      <c r="A35" s="46" t="s">
        <v>2</v>
      </c>
      <c r="B35" s="46"/>
      <c r="C35" s="18">
        <f>$C$34*$C$4</f>
        <v>30092.550823983522</v>
      </c>
    </row>
    <row r="36" spans="1:11" x14ac:dyDescent="0.25">
      <c r="A36" s="46" t="s">
        <v>4</v>
      </c>
      <c r="B36" s="46"/>
      <c r="C36" s="15">
        <f>$C$35+$C$4</f>
        <v>130092.55082398352</v>
      </c>
      <c r="E36" s="5"/>
    </row>
    <row r="37" spans="1:11" x14ac:dyDescent="0.25">
      <c r="A37" s="46" t="s">
        <v>11</v>
      </c>
      <c r="B37" s="46"/>
      <c r="C37" s="43">
        <f>(1+C34)^(12/$C$3)-1</f>
        <v>9.1651819854935201E-2</v>
      </c>
      <c r="E37" s="5"/>
    </row>
    <row r="38" spans="1:11" x14ac:dyDescent="0.25">
      <c r="A38" s="47" t="s">
        <v>12</v>
      </c>
      <c r="B38" s="47"/>
      <c r="C38" s="43">
        <f>(1+C37)^(1/12)-1</f>
        <v>7.3344311597522971E-3</v>
      </c>
      <c r="E38" s="5"/>
    </row>
    <row r="39" spans="1:11" x14ac:dyDescent="0.25">
      <c r="A39" s="6"/>
      <c r="B39" s="6"/>
      <c r="C39" s="3"/>
    </row>
    <row r="41" spans="1:11" ht="17.25" customHeight="1" x14ac:dyDescent="0.25">
      <c r="A41" s="61" t="s">
        <v>30</v>
      </c>
      <c r="B41" s="61"/>
      <c r="C41" s="61"/>
      <c r="E41" s="57" t="s">
        <v>37</v>
      </c>
      <c r="F41" s="57"/>
      <c r="G41" s="57"/>
      <c r="H41" s="57"/>
      <c r="I41" s="57"/>
      <c r="J41" s="57"/>
      <c r="K41" s="57"/>
    </row>
    <row r="42" spans="1:11" x14ac:dyDescent="0.25">
      <c r="A42" s="54" t="s">
        <v>15</v>
      </c>
      <c r="B42" s="55"/>
      <c r="C42" s="16">
        <v>1.04</v>
      </c>
    </row>
    <row r="43" spans="1:11" x14ac:dyDescent="0.25">
      <c r="A43" s="53" t="s">
        <v>3</v>
      </c>
      <c r="B43" s="53"/>
      <c r="C43" s="17">
        <f>IF($C$3&lt;=0,"Tempo de Investimento Inválido",IF($C$3&lt;=6,0.225,IF($C$3&lt;=12,0.2,IF($C$3&lt;=24,0.175,IF($C$3&gt;24,0.15,"")))))</f>
        <v>0.15</v>
      </c>
    </row>
    <row r="44" spans="1:11" x14ac:dyDescent="0.25">
      <c r="A44" s="59" t="s">
        <v>5</v>
      </c>
      <c r="B44" s="59"/>
      <c r="C44" s="19">
        <v>0</v>
      </c>
      <c r="E44" s="2"/>
    </row>
    <row r="45" spans="1:11" x14ac:dyDescent="0.25">
      <c r="A45" s="46" t="s">
        <v>6</v>
      </c>
      <c r="B45" s="46"/>
      <c r="C45" s="20">
        <f>(1+C44)^(1/12)-1</f>
        <v>0</v>
      </c>
      <c r="E45" s="36"/>
    </row>
    <row r="46" spans="1:11" x14ac:dyDescent="0.25">
      <c r="A46" s="46" t="s">
        <v>1</v>
      </c>
      <c r="B46" s="46"/>
      <c r="C46" s="13">
        <f>(((((1+C8)^C3)/((1+C45)^C3)-1)*C42)*(1-C43))</f>
        <v>0.26522248183849884</v>
      </c>
      <c r="E46" s="36"/>
    </row>
    <row r="47" spans="1:11" x14ac:dyDescent="0.25">
      <c r="A47" s="46" t="s">
        <v>2</v>
      </c>
      <c r="B47" s="46"/>
      <c r="C47" s="18">
        <f>C46*$C$4</f>
        <v>26522.248183849882</v>
      </c>
    </row>
    <row r="48" spans="1:11" x14ac:dyDescent="0.25">
      <c r="A48" s="46" t="s">
        <v>4</v>
      </c>
      <c r="B48" s="46"/>
      <c r="C48" s="15">
        <f>C47+$C$4</f>
        <v>126522.24818384988</v>
      </c>
      <c r="D48" s="1"/>
      <c r="E48" s="35"/>
    </row>
    <row r="49" spans="1:11" x14ac:dyDescent="0.25">
      <c r="A49" s="46" t="s">
        <v>11</v>
      </c>
      <c r="B49" s="46"/>
      <c r="C49" s="43">
        <f>(1+C46)^(12/$C$3)-1</f>
        <v>8.157249265396338E-2</v>
      </c>
      <c r="D49" s="1"/>
    </row>
    <row r="50" spans="1:11" x14ac:dyDescent="0.25">
      <c r="A50" s="47" t="s">
        <v>12</v>
      </c>
      <c r="B50" s="47"/>
      <c r="C50" s="43">
        <f>(1+C49)^(1/12)-1</f>
        <v>6.556063671999679E-3</v>
      </c>
    </row>
    <row r="51" spans="1:11" x14ac:dyDescent="0.25">
      <c r="A51" s="21"/>
      <c r="B51" s="21"/>
      <c r="C51" s="22"/>
    </row>
    <row r="53" spans="1:11" ht="49.5" customHeight="1" x14ac:dyDescent="0.25">
      <c r="A53" s="48" t="s">
        <v>10</v>
      </c>
      <c r="B53" s="48"/>
      <c r="C53" s="48"/>
      <c r="E53" s="56" t="s">
        <v>49</v>
      </c>
      <c r="F53" s="56"/>
      <c r="G53" s="56"/>
      <c r="H53" s="56"/>
      <c r="I53" s="56"/>
      <c r="J53" s="56"/>
      <c r="K53" s="56"/>
    </row>
    <row r="54" spans="1:11" x14ac:dyDescent="0.25">
      <c r="A54" s="46" t="s">
        <v>17</v>
      </c>
      <c r="B54" s="46"/>
      <c r="C54" s="25">
        <f>C4/((1+C55))</f>
        <v>99900.099900099915</v>
      </c>
    </row>
    <row r="55" spans="1:11" x14ac:dyDescent="0.25">
      <c r="A55" s="59" t="s">
        <v>29</v>
      </c>
      <c r="B55" s="59"/>
      <c r="C55" s="26">
        <v>1E-3</v>
      </c>
    </row>
    <row r="56" spans="1:11" x14ac:dyDescent="0.25">
      <c r="A56" s="46" t="s">
        <v>24</v>
      </c>
      <c r="B56" s="46"/>
      <c r="C56" s="27">
        <f>C54*C55</f>
        <v>99.900099900099917</v>
      </c>
    </row>
    <row r="57" spans="1:11" x14ac:dyDescent="0.25">
      <c r="A57" s="46" t="s">
        <v>18</v>
      </c>
      <c r="B57" s="46"/>
      <c r="C57" s="9">
        <f>C5</f>
        <v>9.2499999999999999E-2</v>
      </c>
    </row>
    <row r="58" spans="1:11" x14ac:dyDescent="0.25">
      <c r="A58" s="46" t="s">
        <v>19</v>
      </c>
      <c r="B58" s="46"/>
      <c r="C58" s="28">
        <f>C54*((1+C57)^(C3/12))</f>
        <v>130265.7545579421</v>
      </c>
    </row>
    <row r="59" spans="1:11" x14ac:dyDescent="0.25">
      <c r="A59" s="53" t="s">
        <v>25</v>
      </c>
      <c r="B59" s="53"/>
      <c r="C59" s="29">
        <v>3.0000000000000001E-3</v>
      </c>
      <c r="E59" s="35"/>
    </row>
    <row r="60" spans="1:11" x14ac:dyDescent="0.25">
      <c r="A60" s="46" t="s">
        <v>20</v>
      </c>
      <c r="B60" s="46"/>
      <c r="C60" s="28">
        <f>($C$59*C3/12)*((C54+C58)/2)</f>
        <v>1035.746345061189</v>
      </c>
    </row>
    <row r="61" spans="1:11" x14ac:dyDescent="0.25">
      <c r="A61" s="67" t="s">
        <v>21</v>
      </c>
      <c r="B61" s="68"/>
      <c r="C61" s="28">
        <f>IF((C3&gt;12),((C55*((C3-12)/12))*((C54+C58)/2)),0)</f>
        <v>230.16585445804202</v>
      </c>
    </row>
    <row r="62" spans="1:11" x14ac:dyDescent="0.25">
      <c r="A62" s="46" t="s">
        <v>22</v>
      </c>
      <c r="B62" s="46"/>
      <c r="C62" s="30">
        <f>IF($C$3&lt;=0,"Tempo de Investimento Inválido",IF($C$3&lt;=6,0.225,IF($C$3&lt;=12,0.2,IF($C$3&lt;=24,0.175,IF($C$3&gt;24,0.15,"")))))</f>
        <v>0.15</v>
      </c>
    </row>
    <row r="63" spans="1:11" x14ac:dyDescent="0.25">
      <c r="A63" s="46" t="s">
        <v>23</v>
      </c>
      <c r="B63" s="46"/>
      <c r="C63" s="27">
        <f>C62*(C58-C54)</f>
        <v>4554.8481986763272</v>
      </c>
    </row>
    <row r="64" spans="1:11" x14ac:dyDescent="0.25">
      <c r="A64" s="66" t="s">
        <v>26</v>
      </c>
      <c r="B64" s="66"/>
      <c r="C64" s="27">
        <f>C58-C60-C61-C63</f>
        <v>124444.99415974655</v>
      </c>
    </row>
    <row r="65" spans="1:11" x14ac:dyDescent="0.25">
      <c r="A65" s="46" t="s">
        <v>13</v>
      </c>
      <c r="B65" s="62"/>
      <c r="C65" s="30">
        <f>(1+C57)^(1/12)-1</f>
        <v>7.3996302871768282E-3</v>
      </c>
      <c r="G65" s="39"/>
      <c r="H65" s="39"/>
    </row>
    <row r="66" spans="1:11" x14ac:dyDescent="0.25">
      <c r="A66" s="46" t="s">
        <v>2</v>
      </c>
      <c r="B66" s="46"/>
      <c r="C66" s="31">
        <f>C64-C4</f>
        <v>24444.994159746551</v>
      </c>
      <c r="H66" s="40"/>
    </row>
    <row r="67" spans="1:11" x14ac:dyDescent="0.25">
      <c r="A67" s="46" t="s">
        <v>11</v>
      </c>
      <c r="B67" s="46"/>
      <c r="C67" s="43">
        <f>(C64/C4)^(12/$C$3)-1</f>
        <v>7.5620681144534352E-2</v>
      </c>
      <c r="H67" s="40"/>
    </row>
    <row r="68" spans="1:11" x14ac:dyDescent="0.25">
      <c r="A68" s="47" t="s">
        <v>12</v>
      </c>
      <c r="B68" s="47"/>
      <c r="C68" s="43">
        <f>(1+C67)^(1/12)-1</f>
        <v>6.0933118869315184E-3</v>
      </c>
    </row>
    <row r="69" spans="1:11" x14ac:dyDescent="0.25">
      <c r="A69" s="21"/>
      <c r="B69" s="21"/>
      <c r="C69" s="22"/>
    </row>
    <row r="71" spans="1:11" ht="66" customHeight="1" x14ac:dyDescent="0.25">
      <c r="A71" s="48" t="s">
        <v>16</v>
      </c>
      <c r="B71" s="48"/>
      <c r="C71" s="48"/>
      <c r="E71" s="56" t="s">
        <v>50</v>
      </c>
      <c r="F71" s="56"/>
      <c r="G71" s="56"/>
      <c r="H71" s="56"/>
      <c r="I71" s="56"/>
      <c r="J71" s="56"/>
      <c r="K71" s="56"/>
    </row>
    <row r="72" spans="1:11" x14ac:dyDescent="0.25">
      <c r="A72" s="54" t="s">
        <v>14</v>
      </c>
      <c r="B72" s="55"/>
      <c r="C72" s="16">
        <v>0.94</v>
      </c>
    </row>
    <row r="73" spans="1:11" x14ac:dyDescent="0.25">
      <c r="A73" s="46" t="s">
        <v>3</v>
      </c>
      <c r="B73" s="46"/>
      <c r="C73" s="32">
        <v>0</v>
      </c>
    </row>
    <row r="74" spans="1:11" x14ac:dyDescent="0.25">
      <c r="A74" s="46" t="s">
        <v>1</v>
      </c>
      <c r="B74" s="46"/>
      <c r="C74" s="13">
        <f>(((1+$C$8)^$C$3)-1)*(C$72)</f>
        <v>0.28202390602736299</v>
      </c>
    </row>
    <row r="75" spans="1:11" x14ac:dyDescent="0.25">
      <c r="A75" s="46" t="s">
        <v>2</v>
      </c>
      <c r="B75" s="46"/>
      <c r="C75" s="18">
        <f>$C$74*$C$4</f>
        <v>28202.390602736301</v>
      </c>
    </row>
    <row r="76" spans="1:11" x14ac:dyDescent="0.25">
      <c r="A76" s="46" t="s">
        <v>4</v>
      </c>
      <c r="B76" s="46"/>
      <c r="C76" s="15">
        <f>$C$75+$C$4</f>
        <v>128202.3906027363</v>
      </c>
    </row>
    <row r="77" spans="1:11" x14ac:dyDescent="0.25">
      <c r="A77" s="46" t="s">
        <v>11</v>
      </c>
      <c r="B77" s="46"/>
      <c r="C77" s="43">
        <f>(1+C74)^(12/$C$3)-1</f>
        <v>8.6339008429502151E-2</v>
      </c>
    </row>
    <row r="78" spans="1:11" x14ac:dyDescent="0.25">
      <c r="A78" s="47" t="s">
        <v>12</v>
      </c>
      <c r="B78" s="47"/>
      <c r="C78" s="43">
        <f>(1+C77)^(1/12)-1</f>
        <v>6.9249788124268186E-3</v>
      </c>
    </row>
    <row r="84" spans="1:3" x14ac:dyDescent="0.25">
      <c r="A84" s="48" t="s">
        <v>53</v>
      </c>
      <c r="B84" s="48"/>
      <c r="C84" s="48"/>
    </row>
    <row r="85" spans="1:3" x14ac:dyDescent="0.25">
      <c r="A85" s="54" t="s">
        <v>54</v>
      </c>
      <c r="B85" s="55"/>
      <c r="C85" s="12">
        <v>0.11</v>
      </c>
    </row>
    <row r="86" spans="1:3" x14ac:dyDescent="0.25">
      <c r="A86" s="53" t="s">
        <v>3</v>
      </c>
      <c r="B86" s="53"/>
      <c r="C86" s="17">
        <f>IF($C$3&lt;=0,"Tempo de Investimento Inválido",IF($C$3&lt;=6,0.225,IF($C$3&lt;=12,0.2,IF($C$3&lt;=24,0.175,IF($C$3&gt;24,0.15,"")))))</f>
        <v>0.15</v>
      </c>
    </row>
    <row r="87" spans="1:3" x14ac:dyDescent="0.25">
      <c r="A87" s="46" t="s">
        <v>38</v>
      </c>
      <c r="B87" s="46"/>
      <c r="C87" s="37">
        <f>(((1+$C$85)^($C$3/12))-1)*(1-$C$86)</f>
        <v>0.31248635000000019</v>
      </c>
    </row>
    <row r="88" spans="1:3" x14ac:dyDescent="0.25">
      <c r="A88" s="46" t="s">
        <v>2</v>
      </c>
      <c r="B88" s="46"/>
      <c r="C88" s="18">
        <f>$C$87*$C$4</f>
        <v>31248.63500000002</v>
      </c>
    </row>
    <row r="89" spans="1:3" x14ac:dyDescent="0.25">
      <c r="A89" s="46" t="s">
        <v>4</v>
      </c>
      <c r="B89" s="46"/>
      <c r="C89" s="15">
        <f>$C$88+$C$4</f>
        <v>131248.63500000001</v>
      </c>
    </row>
    <row r="90" spans="1:3" x14ac:dyDescent="0.25">
      <c r="A90" s="46" t="s">
        <v>11</v>
      </c>
      <c r="B90" s="46"/>
      <c r="C90" s="43">
        <f>(1+C87)^(12/$C$3)-1</f>
        <v>9.4875989375559744E-2</v>
      </c>
    </row>
    <row r="91" spans="1:3" x14ac:dyDescent="0.25">
      <c r="A91" s="47" t="s">
        <v>12</v>
      </c>
      <c r="B91" s="47"/>
      <c r="C91" s="43">
        <f>(1+C90)^(1/12)-1</f>
        <v>7.5820245081086313E-3</v>
      </c>
    </row>
    <row r="94" spans="1:3" x14ac:dyDescent="0.25">
      <c r="A94" s="48" t="s">
        <v>59</v>
      </c>
      <c r="B94" s="48"/>
      <c r="C94" s="48"/>
    </row>
    <row r="95" spans="1:3" x14ac:dyDescent="0.25">
      <c r="A95" s="49" t="s">
        <v>55</v>
      </c>
      <c r="B95" s="50"/>
      <c r="C95" s="44">
        <v>5.1999999999999998E-2</v>
      </c>
    </row>
    <row r="96" spans="1:3" x14ac:dyDescent="0.25">
      <c r="A96" s="49" t="s">
        <v>56</v>
      </c>
      <c r="B96" s="50"/>
      <c r="C96" s="44">
        <v>0.04</v>
      </c>
    </row>
    <row r="97" spans="1:3" x14ac:dyDescent="0.25">
      <c r="A97" s="51" t="s">
        <v>58</v>
      </c>
      <c r="B97" s="52"/>
      <c r="C97" s="45">
        <f>(1+C95)*(1+C96)-1</f>
        <v>9.4080000000000163E-2</v>
      </c>
    </row>
    <row r="98" spans="1:3" x14ac:dyDescent="0.25">
      <c r="A98" s="53" t="s">
        <v>3</v>
      </c>
      <c r="B98" s="53"/>
      <c r="C98" s="17">
        <f>IF($C$3&lt;=0,"Tempo de Investimento Inválido",IF($C$3&lt;=6,0.225,IF($C$3&lt;=12,0.2,IF($C$3&lt;=24,0.175,IF($C$3&gt;24,0.15,"")))))</f>
        <v>0.15</v>
      </c>
    </row>
    <row r="99" spans="1:3" x14ac:dyDescent="0.25">
      <c r="A99" s="46" t="s">
        <v>38</v>
      </c>
      <c r="B99" s="46"/>
      <c r="C99" s="37">
        <f>(((1+$C$97)^($C$3/12))-1)*(1-$C$98)</f>
        <v>0.26318196879851558</v>
      </c>
    </row>
    <row r="100" spans="1:3" x14ac:dyDescent="0.25">
      <c r="A100" s="46" t="s">
        <v>2</v>
      </c>
      <c r="B100" s="46"/>
      <c r="C100" s="18">
        <f>$C$87*$C$4</f>
        <v>31248.63500000002</v>
      </c>
    </row>
    <row r="101" spans="1:3" x14ac:dyDescent="0.25">
      <c r="A101" s="46" t="s">
        <v>4</v>
      </c>
      <c r="B101" s="46"/>
      <c r="C101" s="15">
        <f>$C$88+$C$4</f>
        <v>131248.63500000001</v>
      </c>
    </row>
    <row r="102" spans="1:3" x14ac:dyDescent="0.25">
      <c r="A102" s="46" t="s">
        <v>11</v>
      </c>
      <c r="B102" s="46"/>
      <c r="C102" s="43">
        <f>(1+C99)^(12/$C$3)-1</f>
        <v>8.0990737188806783E-2</v>
      </c>
    </row>
    <row r="103" spans="1:3" x14ac:dyDescent="0.25">
      <c r="A103" s="47" t="s">
        <v>12</v>
      </c>
      <c r="B103" s="47"/>
      <c r="C103" s="43">
        <f>(1+C102)^(1/12)-1</f>
        <v>6.5109354055234991E-3</v>
      </c>
    </row>
    <row r="105" spans="1:3" x14ac:dyDescent="0.25">
      <c r="A105" s="48" t="s">
        <v>57</v>
      </c>
      <c r="B105" s="48"/>
      <c r="C105" s="48"/>
    </row>
    <row r="106" spans="1:3" x14ac:dyDescent="0.25">
      <c r="A106" s="49" t="s">
        <v>55</v>
      </c>
      <c r="B106" s="50"/>
      <c r="C106" s="44">
        <v>0.06</v>
      </c>
    </row>
    <row r="107" spans="1:3" x14ac:dyDescent="0.25">
      <c r="A107" s="49" t="s">
        <v>56</v>
      </c>
      <c r="B107" s="50"/>
      <c r="C107" s="44">
        <v>0.04</v>
      </c>
    </row>
    <row r="108" spans="1:3" x14ac:dyDescent="0.25">
      <c r="A108" s="51" t="s">
        <v>58</v>
      </c>
      <c r="B108" s="52"/>
      <c r="C108" s="45">
        <f>(1+C106)*(1+C107)-1</f>
        <v>0.10240000000000005</v>
      </c>
    </row>
    <row r="109" spans="1:3" x14ac:dyDescent="0.25">
      <c r="A109" s="53" t="s">
        <v>3</v>
      </c>
      <c r="B109" s="53"/>
      <c r="C109" s="17">
        <v>0</v>
      </c>
    </row>
    <row r="110" spans="1:3" x14ac:dyDescent="0.25">
      <c r="A110" s="46" t="s">
        <v>38</v>
      </c>
      <c r="B110" s="46"/>
      <c r="C110" s="37">
        <f>(((1+$C$108)^($C$3/12))-1)*(1-$C$109)</f>
        <v>0.33973102182399995</v>
      </c>
    </row>
    <row r="111" spans="1:3" x14ac:dyDescent="0.25">
      <c r="A111" s="46" t="s">
        <v>2</v>
      </c>
      <c r="B111" s="46"/>
      <c r="C111" s="18">
        <f>$C$87*$C$4</f>
        <v>31248.63500000002</v>
      </c>
    </row>
    <row r="112" spans="1:3" x14ac:dyDescent="0.25">
      <c r="A112" s="46" t="s">
        <v>4</v>
      </c>
      <c r="B112" s="46"/>
      <c r="C112" s="15">
        <f>$C$88+$C$4</f>
        <v>131248.63500000001</v>
      </c>
    </row>
    <row r="113" spans="1:3" x14ac:dyDescent="0.25">
      <c r="A113" s="46" t="s">
        <v>11</v>
      </c>
      <c r="B113" s="46"/>
      <c r="C113" s="43">
        <f>(1+C110)^(12/$C$3)-1</f>
        <v>0.10240000000000005</v>
      </c>
    </row>
    <row r="114" spans="1:3" x14ac:dyDescent="0.25">
      <c r="A114" s="47" t="s">
        <v>12</v>
      </c>
      <c r="B114" s="47"/>
      <c r="C114" s="43">
        <f>(1+C113)^(1/12)-1</f>
        <v>8.1572254414694623E-3</v>
      </c>
    </row>
  </sheetData>
  <mergeCells count="99">
    <mergeCell ref="A26:B26"/>
    <mergeCell ref="A27:B27"/>
    <mergeCell ref="A28:B28"/>
    <mergeCell ref="E21:K21"/>
    <mergeCell ref="A21:C21"/>
    <mergeCell ref="A22:B22"/>
    <mergeCell ref="A23:B23"/>
    <mergeCell ref="A24:B24"/>
    <mergeCell ref="A25:B25"/>
    <mergeCell ref="A57:B57"/>
    <mergeCell ref="A44:B44"/>
    <mergeCell ref="A45:B45"/>
    <mergeCell ref="A46:B46"/>
    <mergeCell ref="A47:B47"/>
    <mergeCell ref="A48:B48"/>
    <mergeCell ref="A49:B49"/>
    <mergeCell ref="A50:B50"/>
    <mergeCell ref="A53:C53"/>
    <mergeCell ref="A37:B37"/>
    <mergeCell ref="A38:B38"/>
    <mergeCell ref="A41:C41"/>
    <mergeCell ref="A32:B32"/>
    <mergeCell ref="A42:B42"/>
    <mergeCell ref="A64:B64"/>
    <mergeCell ref="A78:B78"/>
    <mergeCell ref="A73:B73"/>
    <mergeCell ref="A58:B58"/>
    <mergeCell ref="A59:B59"/>
    <mergeCell ref="A60:B60"/>
    <mergeCell ref="A61:B61"/>
    <mergeCell ref="A62:B62"/>
    <mergeCell ref="A63:B63"/>
    <mergeCell ref="A65:B65"/>
    <mergeCell ref="A66:B66"/>
    <mergeCell ref="A67:B67"/>
    <mergeCell ref="A68:B68"/>
    <mergeCell ref="A71:C71"/>
    <mergeCell ref="A77:B77"/>
    <mergeCell ref="A72:B72"/>
    <mergeCell ref="A74:B74"/>
    <mergeCell ref="A75:B75"/>
    <mergeCell ref="A76:B76"/>
    <mergeCell ref="A1:K1"/>
    <mergeCell ref="A9:B9"/>
    <mergeCell ref="A12:C12"/>
    <mergeCell ref="A13:B13"/>
    <mergeCell ref="A15:B15"/>
    <mergeCell ref="A14:B14"/>
    <mergeCell ref="A3:B3"/>
    <mergeCell ref="A4:B4"/>
    <mergeCell ref="A5:B5"/>
    <mergeCell ref="A6:B6"/>
    <mergeCell ref="A7:B7"/>
    <mergeCell ref="E31:K31"/>
    <mergeCell ref="E71:K71"/>
    <mergeCell ref="E53:K53"/>
    <mergeCell ref="E41:K41"/>
    <mergeCell ref="A8:B8"/>
    <mergeCell ref="A16:B16"/>
    <mergeCell ref="A56:B56"/>
    <mergeCell ref="A17:B17"/>
    <mergeCell ref="A19:B19"/>
    <mergeCell ref="A18:B18"/>
    <mergeCell ref="A43:B43"/>
    <mergeCell ref="A31:C31"/>
    <mergeCell ref="A33:B33"/>
    <mergeCell ref="A34:B34"/>
    <mergeCell ref="A35:B35"/>
    <mergeCell ref="A36:B36"/>
    <mergeCell ref="A54:B54"/>
    <mergeCell ref="A55:B55"/>
    <mergeCell ref="A89:B89"/>
    <mergeCell ref="A90:B90"/>
    <mergeCell ref="A91:B91"/>
    <mergeCell ref="A84:C84"/>
    <mergeCell ref="A85:B85"/>
    <mergeCell ref="A86:B86"/>
    <mergeCell ref="A87:B87"/>
    <mergeCell ref="A88:B88"/>
    <mergeCell ref="A94:C94"/>
    <mergeCell ref="A97:B97"/>
    <mergeCell ref="A98:B98"/>
    <mergeCell ref="A99:B99"/>
    <mergeCell ref="A100:B100"/>
    <mergeCell ref="A101:B101"/>
    <mergeCell ref="A102:B102"/>
    <mergeCell ref="A103:B103"/>
    <mergeCell ref="A95:B95"/>
    <mergeCell ref="A96:B96"/>
    <mergeCell ref="A105:C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- renda fixa</vt:lpstr>
    </vt:vector>
  </TitlesOfParts>
  <Company>FGV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Bandeira</dc:creator>
  <cp:lastModifiedBy>João Sandrini</cp:lastModifiedBy>
  <dcterms:created xsi:type="dcterms:W3CDTF">2012-04-18T22:49:31Z</dcterms:created>
  <dcterms:modified xsi:type="dcterms:W3CDTF">2017-08-28T20:05:47Z</dcterms:modified>
</cp:coreProperties>
</file>